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F7E5D682-17AB-427D-9757-C93D7AA5D3CF}" xr6:coauthVersionLast="47" xr6:coauthVersionMax="47" xr10:uidLastSave="{00000000-0000-0000-0000-000000000000}"/>
  <bookViews>
    <workbookView xWindow="795" yWindow="375" windowWidth="26940" windowHeight="1468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Z27" i="15"/>
  <c r="Z24" i="15" s="1"/>
  <c r="F30" i="15"/>
  <c r="F31" i="15"/>
  <c r="F33" i="15"/>
  <c r="N27" i="15"/>
  <c r="D24" i="15"/>
  <c r="F29" i="15" l="1"/>
  <c r="AE27" i="15"/>
  <c r="AE24" i="15" s="1"/>
  <c r="R27" i="15"/>
  <c r="R24" i="15" s="1"/>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<sst xmlns="http://schemas.openxmlformats.org/spreadsheetml/2006/main" count="4464" uniqueCount="566">
  <si>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</si>
  <si>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</si>
  <si>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</si>
  <si>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</si>
  <si>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</si>
  <si>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</si>
  <si>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</si>
  <si>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</si>
  <si>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</si>
  <si>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</si>
  <si>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</si>
  <si>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</si>
  <si>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</si>
  <si>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</si>
  <si>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</si>
  <si>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</si>
  <si>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</si>
  <si>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</si>
  <si>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</si>
  <si>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</si>
  <si>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</si>
  <si>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</si>
  <si>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</si>
  <si>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</si>
  <si>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</si>
  <si>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</si>
  <si>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</si>
  <si>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</si>
  <si>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</si>
  <si>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</si>
  <si>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</si>
  <si>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</si>
  <si>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</si>
  <si>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</si>
  <si>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</si>
  <si>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</si>
  <si>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</si>
  <si>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</si>
  <si>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</si>
  <si>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</si>
  <si>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</si>
  <si>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</si>
  <si>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</si>
  <si>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</si>
  <si>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</si>
  <si>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</si>
  <si>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</si>
  <si>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</si>
  <si>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</si>
  <si>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</si>
  <si>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</si>
  <si>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</si>
  <si>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</si>
  <si>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</si>
  <si>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</si>
  <si>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</si>
  <si>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</si>
  <si>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</si>
  <si>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</si>
  <si>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</si>
  <si>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</si>
  <si>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</si>
  <si>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</si>
  <si>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</si>
  <si>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</si>
  <si>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</si>
  <si>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</si>
  <si>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</si>
  <si>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</si>
  <si>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</si>
  <si>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</si>
  <si>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</si>
  <si>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</si>
  <si>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</si>
  <si>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</si>
  <si>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</si>
  <si>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</si>
  <si>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</si>
  <si>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</si>
  <si>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</si>
  <si>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</si>
  <si>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</si>
  <si>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</si>
  <si>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</si>
  <si>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</si>
  <si>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</si>
  <si>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</si>
  <si>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</si>
  <si>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</si>
  <si>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</si>
  <si>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</si>
  <si>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</si>
  <si>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</si>
  <si>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</si>
  <si>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</si>
  <si>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</si>
  <si>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</si>
  <si>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</si>
  <si>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</si>
  <si>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</si>
  <si>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</si>
  <si>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</si>
  <si>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</si>
  <si>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</si>
  <si>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</si>
  <si>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</si>
  <si>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</si>
  <si>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</si>
  <si>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</si>
  <si>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</si>
  <si>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</si>
  <si>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</si>
  <si>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</si>
  <si>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</si>
  <si>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</si>
  <si>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</si>
  <si>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</si>
  <si>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</si>
  <si>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</si>
  <si>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</si>
  <si>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</si>
  <si>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</si>
  <si>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</si>
  <si>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</si>
  <si>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</si>
  <si>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</si>
  <si>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</si>
  <si>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</si>
  <si>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</si>
  <si>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</si>
  <si>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</si>
  <si>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</si>
  <si>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</si>
  <si>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</si>
  <si>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</si>
  <si>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</si>
  <si>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</si>
  <si>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</si>
  <si>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</si>
  <si>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</si>
  <si>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</si>
  <si>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</si>
  <si>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</si>
  <si>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</si>
  <si>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</si>
  <si>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</si>
  <si>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</si>
  <si>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</si>
  <si>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</si>
  <si>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</si>
  <si>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</si>
  <si>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</si>
  <si>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</si>
  <si>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</si>
  <si>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</si>
  <si>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</si>
  <si>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</si>
  <si>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</si>
  <si>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</si>
  <si>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</si>
  <si>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</si>
  <si>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</si>
  <si>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</si>
  <si>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</si>
  <si>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</si>
  <si>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</si>
  <si>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</si>
  <si>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</si>
  <si>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</si>
  <si>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</si>
  <si>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</si>
  <si>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</si>
  <si>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</si>
  <si>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</si>
  <si>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</si>
  <si>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</si>
  <si>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</si>
  <si>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</si>
  <si>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</si>
  <si>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</si>
  <si>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</si>
  <si>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</si>
  <si>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</si>
  <si>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</si>
  <si>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</si>
  <si>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</si>
  <si>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</si>
  <si>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</si>
  <si>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</si>
  <si>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</si>
  <si>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</si>
  <si>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</si>
  <si>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</si>
  <si>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</si>
  <si>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</si>
  <si>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</si>
  <si>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</si>
  <si>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</si>
  <si>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</si>
  <si>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</si>
  <si>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</si>
  <si>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</si>
  <si>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</si>
  <si>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</si>
  <si>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</si>
  <si>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</si>
  <si>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</si>
  <si>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</si>
  <si>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</si>
  <si>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</si>
  <si>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</si>
  <si>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</si>
  <si>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</si>
  <si>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</si>
  <si>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</si>
  <si>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</si>
  <si>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</si>
  <si>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</si>
  <si>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</si>
  <si>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</si>
  <si>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</si>
  <si>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</si>
  <si>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</si>
  <si>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</si>
  <si>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</si>
  <si>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</si>
  <si>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</si>
  <si>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</si>
  <si>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</si>
  <si>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</si>
  <si>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</si>
  <si>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</si>
  <si>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</si>
  <si>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</si>
  <si>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</si>
  <si>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</si>
  <si>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</si>
  <si>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</si>
  <si>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</si>
  <si>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</si>
  <si>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</si>
  <si>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</si>
  <si>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</si>
  <si>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</si>
  <si>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</si>
  <si>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</si>
  <si>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</si>
  <si>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</si>
  <si>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</si>
  <si>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</si>
  <si>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</si>
  <si>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</si>
  <si>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</si>
  <si>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</si>
  <si>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</si>
  <si>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</si>
  <si>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</si>
  <si>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</si>
  <si>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</si>
  <si>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</si>
  <si>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</si>
  <si>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</si>
  <si>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</si>
  <si>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</si>
  <si>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</si>
  <si>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</si>
  <si>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</si>
  <si>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</si>
  <si>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</si>
  <si>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</si>
  <si>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</si>
  <si>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</si>
  <si>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</si>
  <si>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</si>
  <si>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</si>
  <si>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</si>
  <si>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</si>
  <si>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</si>
  <si>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</si>
  <si>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</si>
  <si>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</si>
  <si>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</si>
  <si>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</si>
  <si>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</si>
  <si>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</si>
  <si>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</si>
  <si>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</si>
  <si>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</si>
  <si>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</si>
  <si>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</si>
  <si>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</si>
  <si>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</si>
  <si>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</si>
  <si>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</si>
  <si>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</si>
  <si>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</si>
  <si>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</si>
  <si>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</si>
  <si>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</si>
  <si>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</si>
  <si>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</si>
  <si>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</si>
  <si>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</si>
  <si>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</si>
  <si>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</si>
  <si>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</si>
  <si>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</si>
  <si>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</si>
  <si>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</si>
  <si>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</si>
  <si>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</si>
  <si>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</si>
  <si>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</si>
  <si>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</si>
  <si>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</si>
  <si>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</si>
  <si>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</si>
  <si>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</si>
  <si>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</si>
  <si>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</si>
  <si>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</si>
  <si>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</si>
  <si>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</si>
  <si>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</si>
  <si>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</si>
  <si>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</si>
  <si>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</si>
  <si>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</si>
  <si>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</si>
  <si>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</si>
  <si>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</si>
  <si>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</si>
  <si>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</si>
  <si>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</si>
  <si>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</si>
  <si>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</si>
  <si>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</si>
  <si>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</si>
  <si>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</si>
  <si>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</si>
  <si>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</si>
  <si>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</si>
  <si>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</si>
  <si>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</si>
  <si>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</si>
  <si>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</si>
  <si>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</si>
  <si>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</si>
  <si>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</si>
  <si>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</si>
  <si>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</si>
  <si>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</si>
  <si>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</si>
  <si>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</si>
  <si>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</si>
  <si>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</si>
  <si>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</si>
  <si>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</si>
  <si>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</si>
  <si>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</si>
  <si>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</si>
  <si>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</si>
  <si>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</si>
  <si>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</si>
  <si>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</si>
  <si>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</si>
  <si>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</si>
  <si>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</si>
  <si>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</si>
  <si>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</si>
  <si>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</si>
  <si>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</si>
  <si>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</si>
  <si>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</si>
  <si>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</si>
  <si>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</si>
  <si>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</si>
  <si>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</si>
  <si>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</si>
  <si>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</si>
  <si>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</si>
  <si>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</si>
  <si>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</si>
  <si>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</si>
  <si>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</si>
  <si>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</si>
  <si>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</si>
  <si>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</si>
  <si>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</si>
  <si>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</si>
  <si>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</si>
  <si>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</si>
  <si>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</si>
  <si>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</si>
  <si>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</si>
  <si>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</si>
  <si>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</si>
  <si>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</si>
  <si>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</si>
  <si>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</si>
  <si>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</si>
  <si>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</si>
  <si>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</si>
  <si>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</si>
  <si>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</si>
  <si>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</si>
  <si>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</si>
  <si>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</si>
  <si>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</si>
  <si>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</si>
  <si>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</si>
  <si>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</si>
  <si>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</si>
  <si>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</si>
  <si>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</si>
  <si>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</si>
  <si>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</si>
  <si>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</si>
  <si>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</si>
  <si>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</si>
  <si>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</si>
  <si>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</si>
  <si>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</si>
  <si>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</si>
  <si>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</si>
  <si>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</si>
  <si>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</si>
  <si>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</si>
  <si>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</si>
  <si>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</si>
  <si>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</si>
  <si>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</si>
  <si>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</si>
  <si>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</si>
  <si>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</si>
  <si>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</si>
  <si>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</si>
  <si>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</si>
  <si>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</si>
  <si>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</si>
  <si>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</si>
  <si>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</si>
  <si>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</si>
  <si>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Утвержденный план</t>
  </si>
  <si>
    <t>Предложение по корректировке утвержденного плана</t>
  </si>
  <si>
    <t>M_00.0037.000037</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</si>
  <si>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</si>
  <si>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</si>
  <si>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</si>
  <si>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</si>
  <si>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</si>
  <si>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</si>
  <si>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</si>
  <si>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</si>
  <si>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</si>
  <si>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</si>
  <si>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</si>
  <si>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</si>
  <si>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</si>
  <si>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</si>
  <si>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</si>
  <si>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</si>
  <si>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</si>
  <si>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</si>
  <si>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</si>
  <si>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</si>
  <si>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</si>
  <si>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</si>
  <si>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</si>
  <si>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</si>
  <si>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</si>
  <si>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</si>
  <si>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</si>
  <si>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</si>
  <si>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</si>
  <si>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</si>
  <si>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</si>
  <si>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</si>
  <si>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</si>
  <si>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</si>
  <si>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</si>
  <si>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</si>
  <si>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</si>
  <si>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</si>
  <si>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</si>
  <si>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</si>
  <si>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</si>
  <si>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</si>
  <si>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</si>
  <si>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</si>
  <si>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</si>
  <si>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</si>
  <si>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</si>
  <si>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</si>
  <si>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</si>
  <si>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</si>
  <si>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</si>
  <si>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</si>
  <si>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</si>
  <si>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</si>
  <si>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</si>
  <si>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</si>
  <si>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</si>
  <si>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</si>
  <si>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</si>
  <si>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</si>
  <si>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</si>
  <si>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</si>
  <si>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</si>
  <si>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</si>
  <si>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увеличением объёмов выполняемых работ, по факту разработки проектно-сметной документации вследствие необходимости одновременного исполнения обязательств сетевой организации по двум договорам технологического присоединения заключенных с АО "РЭС"</t>
  </si>
  <si>
    <t>ТМЦ</t>
  </si>
  <si>
    <t>Поставка аппаратуры передачи сигналов</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</si>
  <si>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</si>
  <si>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</si>
  <si>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</si>
  <si>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t>
  </si>
  <si>
    <t xml:space="preserve">	
32413710866</t>
  </si>
  <si>
    <t>да</t>
  </si>
  <si>
    <t>https://www.roseltorg.ru/</t>
  </si>
  <si>
    <t>ПД</t>
  </si>
  <si>
    <t>ПД-24-00157 от 23.07.24</t>
  </si>
  <si>
    <t>СМР, ПНР</t>
  </si>
  <si>
    <t>Выполнение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ВЛ 110 кВ Восточная – Барышевская I цепь с отпайкой на ПС Сады Гиганта и ВЛ 110 кВ Восточная – Барышевская II цепь. "</t>
  </si>
  <si>
    <t>Конкурс в электронной форме</t>
  </si>
  <si>
    <t>АКЦИОНЕРНОЕ ОБЩЕСТВО "ИНСТИТУТ АВТОМАТИЗАЦИИ ЭНЕРГЕТИЧЕСКИХ СИСТЕМ"</t>
  </si>
  <si>
    <t>-</t>
  </si>
  <si>
    <t>ИП</t>
  </si>
  <si>
    <t>ИП-24-00239 от 16.10.2024</t>
  </si>
  <si>
    <t>ПИР, СМР, ПНР</t>
  </si>
  <si>
    <t>Выполнение проектно-изыскательских,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</si>
  <si>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ОБЩЕСТВО С ОГРАНИЧЕННОЙ ОТВЕТСТВЕННОСТЬЮ "ПРОСОФТ-СИСТЕМЫ"; АКЦИОНЕРНОЕ ОБЩЕСТВО "ИНСТИТУТ АВТОМАТИЗАЦИИ ЭНЕРГЕТИЧЕСКИХ СИСТЕМ"</t>
  </si>
  <si>
    <t>-; 10130,00</t>
  </si>
  <si>
    <t>ОБЩЕСТВО С ОГРАНИЧЕННОЙ ОТВЕТСТВЕННОСТЬЮ "ПРОСОФТ-СИСТЕМЫ"</t>
  </si>
  <si>
    <t>АО "ИАЭС"</t>
  </si>
  <si>
    <t>12 156,00</t>
  </si>
  <si>
    <t>СМР</t>
  </si>
  <si>
    <t>ИП-22-00041 от 05.03.2022</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</si>
  <si>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</si>
  <si>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</si>
  <si>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</si>
  <si>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</si>
  <si>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</si>
  <si>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г. Новосибирск</t>
  </si>
  <si>
    <t>не требуется</t>
  </si>
  <si>
    <t>не относится</t>
  </si>
  <si>
    <t>32,99 МВА</t>
  </si>
  <si>
    <t xml:space="preserve"> 83/7700036 от 20.07.2020</t>
  </si>
  <si>
    <t xml:space="preserve"> 434/7700060 от 17.12.2021</t>
  </si>
  <si>
    <t>существующая ВЛ 110 кВ Восточная – Кошево с отпайками</t>
  </si>
  <si>
    <t>существующая ВЛ 110 кВ Восточная – Лазурная с отпайками</t>
  </si>
  <si>
    <t>существующая ВЛ 110 кВ Восточная – Барышевская I цепь с отпайкой на Сады Гиганта</t>
  </si>
  <si>
    <t xml:space="preserve">существующая ВЛ 110 кВ Восточная – Барышевская II цепь </t>
  </si>
  <si>
    <t>1. Технологическое присоединение  энергопринимающих устройств Заявителей к сетям АО "Электромагистраль".</t>
  </si>
  <si>
    <t>Установка шкафов АОПО ВЛ 110 кВ Восточная-Кошево с отпайками, ВЛ 110 кВ Восточная-Лазурная с отпайками.</t>
  </si>
  <si>
    <t>ПС 220 кВ Восточная</t>
  </si>
  <si>
    <t>27029,81 тыс. руб. с НДС на 1 АОПО</t>
  </si>
  <si>
    <t>Выделение этапов не предусмотрено</t>
  </si>
  <si>
    <t>1. Договор технологического присоединения:  83/7700036 от 20.07.2020.</t>
  </si>
  <si>
    <t>З</t>
  </si>
  <si>
    <t>Сибирский Федеральный округ, Новосибирская область, г. Новосибирск</t>
  </si>
  <si>
    <t xml:space="preserve">АО "Электромагистраль" выполняет мероприятия, указанные в п.2.1-2.4 (в пределах границ земельного участка ПС 220 кВ Восточная):
2.1. Модернизация на ПС 220 кВ Восточная АОПО ВЛ 110 кВ Восточная – Кошево с отпайками, ВЛ 110 кВ Восточная – Лазурная с отпайками для реализации передачи УВ на деление сети на ПС 110 кВ Ояш и на отключение нагрузки ОАО «РЖД» (логику работы, количество каналов ПА и объем управляющих воздействий уточнить при проектировании). Устройства АОПО должны обеспечивать свою правильную работу при частоте 45,0 – 55,0 Гц;
2.2. Организация канала(ов) ПА на участке сети 110 кВ от ПС 500 кВ Юрга до 
ПС 220 кВ Восточная для передачи УВ от АОПО, указанного в п. 2.1 настоящих технических условий, посредством использования высокочастотной связи по ЛЭП, каналов связи в сетях операторов связи или существующих каналов связи по ВОЛС (способ организации каналов связи уточнить при проектировании);
2.3. Учет электрической энергии оставить по существующей схеме.
2.4. Оснастить перечисленные в разделе 2 настоящих технических условий устройства источниками бесперебойного электропитания аккумуляторного или иных типов для предотвращения их отказа при возникновении аварийных электроэнергетических режимов (необходимость установки определить проектом).
</t>
  </si>
  <si>
    <t xml:space="preserve"> АО «Электромагистраль» выполняет мероприятия, указанные в п.2.1. – 2.2. настоящих технических условий, включая разработку рабочей документации на основании проектной документации, разработанной АО «Электромагистраль» по п.3.1. настоящих технических условий в пределах границ земельного участка ПС 220 кВ Восточная:
2.1. Установка на ПС 220 кВ Восточная АОПО ВЛ 110 кВ Восточная – Барышевская I цепь с отпайкой на ПС Сады Гиганта и ВЛ 110 кВ Восточная – Барышевская II цепь с реализацией управляющих воздействий на ОН  (логику работы, объем и виды УВ, объем передаваемой телеинформации уточнить при проектировании) в соответствии с требованиями к оснащению линий электропередачи и оборудования объектов электроэнергетики классом напряжения 110 кВ и выше устройствами и комплексами релейной защиты и автоматики, а также к принципам функционирования устройств и комплексов релейной защиты и автоматики, утвержденными приказом Минэнерго России от 13.02.2019 № 101 (далее – Приказ № 101). 
2.2. Организация канала ПА на участке сети 110 кВ для передачи УВ от АОПО, указанных в п. 2.1. настоящих технических условий, посредством использования высокочастотной связи по ЛЭП, каналов связи в сетях операторов связи или существующих каналов связи по ВОЛС (способ организации каналов связи уточнить при проектировании). Каналы связи устройств и/или комплексов РЗА должны соответствовать требованиям к каналам связи для функционирования релейной защиты и автоматики, утвержденным приказом Минэнерго России от 13.02.2019 № 97.
3.1.  АО «Электромагистраль» выполняет разработку единой проектной документации по АОПО ПС 220 кВ Восточная (п.2.1 – 2.2. настоящих технических условий), включающей, в том числе: определение параметров настройки и алгоритмов функционирования АОПО; мест реализации управляющих воздействий; технические решения по созданию (модернизации) каналов связи, обеспечивающих функционирование АОПО.
АО «Электромагистраль» выполняет согласование проектной документации с владельцами объектов электроэнергетики, на которых требуется выполнение мероприятий по созданию (модернизации) АОПО, а также согласование с указанными субъектами конкретных типов и состава устройств РЗА, планируемых к установке на принадлежащих им объектах электроэнергетики.
</t>
  </si>
  <si>
    <t>ДС №1/ПД-а-69-20-00993-ДС002 от 05.05.2022; ДС №2/ПД-а-69-20-00993-ДС003 от 12.07.2024; ДС №3/ПД-а-69-20-00993-ДС004 от 17.02.2025</t>
  </si>
  <si>
    <t>На исполнении со стороны Заявителя</t>
  </si>
  <si>
    <t>ДС №1/ПД-а-69-21-02852-ДС002 от 28.12.2023; ДС №2/ПД-а-69-21-02852-ДС002 от 26.04.2024; ДС №3/ПД-а-69-21-02852-ДС003 от 01.11.2024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</si>
</sst>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538</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539</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543</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544</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544</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544</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544</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544</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545</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544</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544</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544</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526</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544</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21.65</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v>0.38265517337318777</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546</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2.1181645499999977</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M_00.0037.000037</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49"/>
      <c r="AC21" s="449"/>
      <c r="AE21" s="440" t="s">
        <v>1</v>
      </c>
      <c r="AF21" s="440"/>
      <c r="AG21" s="440" t="s">
        <v>444</v>
      </c>
      <c r="AH21" s="440"/>
    </row>
    <row r="22" spans="1:34" ht="89.25" customHeight="1" x14ac:dyDescent="0.25">
      <c r="A22" s="445"/>
      <c r="B22" s="440"/>
      <c r="C22" s="249" t="str">
        <f>H21</f>
        <v>Утвержденный план</v>
      </c>
      <c r="D22" s="249" t="s">
        <v>444</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24.920455999999998</v>
      </c>
      <c r="D24" s="261">
        <f t="shared" ref="D24:G24" si="0">D25+D26+D27+D32+D33</f>
        <v>27.029814653270879</v>
      </c>
      <c r="E24" s="262">
        <f>J24+N24+R24+V24+Z24+AE24</f>
        <v>2.1181645499999977</v>
      </c>
      <c r="F24" s="262">
        <f t="shared" ref="F24:F26" si="1">N24+R24+V24+Z24+AE24</f>
        <v>0</v>
      </c>
      <c r="G24" s="253">
        <f t="shared" si="0"/>
        <v>24.91165010327088</v>
      </c>
      <c r="H24" s="253">
        <f>H25+H26+H27+H32+H33</f>
        <v>0</v>
      </c>
      <c r="I24" s="253" t="s">
        <v>424</v>
      </c>
      <c r="J24" s="261">
        <f>J25+J26+J27+J32+J33</f>
        <v>2.1181645499999977</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2.1181645499999977</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20.85731238811562</v>
      </c>
      <c r="D27" s="261">
        <v>22.560161841176662</v>
      </c>
      <c r="E27" s="264">
        <f>J27+N27+R27+V27+Z27+AE27</f>
        <v>1.7651371249999981</v>
      </c>
      <c r="F27" s="264">
        <f t="shared" ref="F27:F68" si="8">N27+R27+V27+Z27+AE27</f>
        <v>0</v>
      </c>
      <c r="G27" s="253">
        <v>24.91165010327088</v>
      </c>
      <c r="H27" s="253">
        <f>SUM(H28:H31)</f>
        <v>0</v>
      </c>
      <c r="I27" s="253" t="s">
        <v>424</v>
      </c>
      <c r="J27" s="261">
        <f>SUM(J28:J31)</f>
        <v>1.7651371249999981</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1.7651371249999981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0.41447377262018525</v>
      </c>
      <c r="F29" s="264">
        <f t="shared" si="8"/>
        <v>0</v>
      </c>
      <c r="G29" s="254" t="s">
        <v>424</v>
      </c>
      <c r="H29" s="254">
        <v>0</v>
      </c>
      <c r="I29" s="255">
        <v>0</v>
      </c>
      <c r="J29" s="263">
        <v>0.41447377262018525</v>
      </c>
      <c r="K29" s="265" t="s">
        <v>63</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0.41447377262018525</v>
      </c>
      <c r="AD29" s="204"/>
      <c r="AE29" s="274">
        <v>0</v>
      </c>
      <c r="AF29" s="276">
        <v>0</v>
      </c>
      <c r="AG29" s="278">
        <v>0</v>
      </c>
      <c r="AH29" s="278">
        <v>0</v>
      </c>
    </row>
    <row r="30" spans="1:34" x14ac:dyDescent="0.25">
      <c r="A30" s="58" t="s">
        <v>427</v>
      </c>
      <c r="B30" s="42" t="s">
        <v>164</v>
      </c>
      <c r="C30" s="255" t="s">
        <v>424</v>
      </c>
      <c r="D30" s="265" t="s">
        <v>424</v>
      </c>
      <c r="E30" s="264">
        <f t="shared" si="9"/>
        <v>0.89699907821016389</v>
      </c>
      <c r="F30" s="264">
        <f t="shared" si="8"/>
        <v>0</v>
      </c>
      <c r="G30" s="254" t="s">
        <v>424</v>
      </c>
      <c r="H30" s="254">
        <v>0</v>
      </c>
      <c r="I30" s="255">
        <v>0</v>
      </c>
      <c r="J30" s="263">
        <v>0.89699907821016389</v>
      </c>
      <c r="K30" s="265" t="s">
        <v>63</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0.89699907821016389</v>
      </c>
      <c r="AD30" s="204"/>
      <c r="AE30" s="274">
        <v>0</v>
      </c>
      <c r="AF30" s="274">
        <v>0</v>
      </c>
      <c r="AG30" s="278">
        <v>0</v>
      </c>
      <c r="AH30" s="278">
        <v>0</v>
      </c>
    </row>
    <row r="31" spans="1:34" x14ac:dyDescent="0.25">
      <c r="A31" s="58" t="s">
        <v>428</v>
      </c>
      <c r="B31" s="42" t="s">
        <v>162</v>
      </c>
      <c r="C31" s="255" t="s">
        <v>424</v>
      </c>
      <c r="D31" s="265" t="s">
        <v>424</v>
      </c>
      <c r="E31" s="264">
        <f t="shared" si="9"/>
        <v>0.45366427416964894</v>
      </c>
      <c r="F31" s="264">
        <f t="shared" si="8"/>
        <v>0</v>
      </c>
      <c r="G31" s="254" t="s">
        <v>424</v>
      </c>
      <c r="H31" s="254">
        <v>0</v>
      </c>
      <c r="I31" s="255">
        <v>0</v>
      </c>
      <c r="J31" s="263">
        <v>0.45366427416964894</v>
      </c>
      <c r="K31" s="265" t="s">
        <v>63</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0.45366427416964894</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4.063143611884378</v>
      </c>
      <c r="D33" s="263">
        <v>4.4696528120942167</v>
      </c>
      <c r="E33" s="264">
        <f t="shared" si="9"/>
        <v>0.35302742499999956</v>
      </c>
      <c r="F33" s="264">
        <f t="shared" si="8"/>
        <v>0</v>
      </c>
      <c r="G33" s="254">
        <v>0</v>
      </c>
      <c r="H33" s="254">
        <v>0</v>
      </c>
      <c r="I33" s="254">
        <f>I31</f>
        <v>0</v>
      </c>
      <c r="J33" s="263">
        <v>0.35302742499999956</v>
      </c>
      <c r="K33" s="263" t="str">
        <f>K31</f>
        <v>1</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0.35302742499999956</v>
      </c>
      <c r="AE33" s="274">
        <v>0</v>
      </c>
      <c r="AF33" s="274">
        <f>AF31</f>
        <v>0</v>
      </c>
      <c r="AG33" s="278">
        <v>0</v>
      </c>
      <c r="AH33" s="278">
        <v>0</v>
      </c>
    </row>
    <row r="34" spans="1:34" ht="47.25" x14ac:dyDescent="0.25">
      <c r="A34" s="60" t="s">
        <v>61</v>
      </c>
      <c r="B34" s="59" t="s">
        <v>170</v>
      </c>
      <c r="C34" s="253">
        <f>SUM(C35:C38)</f>
        <v>9.2185400000000008E-3</v>
      </c>
      <c r="D34" s="261">
        <f t="shared" ref="D34:G34" si="10">SUM(D35:D38)</f>
        <v>22.56044812</v>
      </c>
      <c r="E34" s="262">
        <f t="shared" si="9"/>
        <v>0</v>
      </c>
      <c r="F34" s="262">
        <f t="shared" si="8"/>
        <v>0</v>
      </c>
      <c r="G34" s="253">
        <f t="shared" si="10"/>
        <v>22.551229580000001</v>
      </c>
      <c r="H34" s="253">
        <f>SUM(H35:H38)</f>
        <v>0</v>
      </c>
      <c r="I34" s="253" t="s">
        <v>424</v>
      </c>
      <c r="J34" s="261">
        <f>SUM(J35:J38)</f>
        <v>0</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v>
      </c>
      <c r="AD34" s="204"/>
      <c r="AE34" s="273">
        <f>SUM(AE35:AE38)</f>
        <v>0</v>
      </c>
      <c r="AF34" s="273" t="s">
        <v>424</v>
      </c>
      <c r="AG34" s="278">
        <v>0</v>
      </c>
      <c r="AH34" s="278">
        <v>0</v>
      </c>
    </row>
    <row r="35" spans="1:34" x14ac:dyDescent="0.25">
      <c r="A35" s="60" t="s">
        <v>169</v>
      </c>
      <c r="B35" s="42" t="s">
        <v>168</v>
      </c>
      <c r="C35" s="254">
        <v>0</v>
      </c>
      <c r="D35" s="263">
        <v>4.45</v>
      </c>
      <c r="E35" s="264">
        <f t="shared" si="9"/>
        <v>0</v>
      </c>
      <c r="F35" s="264">
        <f t="shared" si="8"/>
        <v>0</v>
      </c>
      <c r="G35" s="254">
        <v>4.45</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4.2540676099999999</v>
      </c>
      <c r="E36" s="264">
        <f t="shared" si="9"/>
        <v>0</v>
      </c>
      <c r="F36" s="264">
        <f t="shared" si="8"/>
        <v>0</v>
      </c>
      <c r="G36" s="254">
        <v>4.2540676099999999</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9.1355186800000006</v>
      </c>
      <c r="E37" s="264">
        <f t="shared" si="9"/>
        <v>0</v>
      </c>
      <c r="F37" s="264">
        <f t="shared" si="8"/>
        <v>0</v>
      </c>
      <c r="G37" s="254">
        <v>9.1355186800000006</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9.2185400000000008E-3</v>
      </c>
      <c r="D38" s="263">
        <v>4.7208618300000005</v>
      </c>
      <c r="E38" s="264">
        <f t="shared" si="9"/>
        <v>0</v>
      </c>
      <c r="F38" s="264">
        <f t="shared" si="8"/>
        <v>0</v>
      </c>
      <c r="G38" s="254">
        <v>4.7116432900000005</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v>
      </c>
      <c r="D46" s="263">
        <v>3</v>
      </c>
      <c r="E46" s="264">
        <f t="shared" si="9"/>
        <v>0</v>
      </c>
      <c r="F46" s="264">
        <f t="shared" si="8"/>
        <v>0</v>
      </c>
      <c r="G46" s="254">
        <v>3</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v>
      </c>
      <c r="D54" s="263">
        <v>3</v>
      </c>
      <c r="E54" s="264">
        <f t="shared" si="9"/>
        <v>0</v>
      </c>
      <c r="F54" s="264">
        <f t="shared" si="8"/>
        <v>0</v>
      </c>
      <c r="G54" s="254">
        <v>3</v>
      </c>
      <c r="H54" s="254" t="b">
        <v>0</v>
      </c>
      <c r="I54" s="255">
        <v>0</v>
      </c>
      <c r="J54" s="263">
        <v>0</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20.883749999999999</v>
      </c>
      <c r="D56" s="263">
        <v>22.560448119999997</v>
      </c>
      <c r="E56" s="264">
        <f t="shared" si="9"/>
        <v>0</v>
      </c>
      <c r="F56" s="264">
        <f t="shared" si="8"/>
        <v>0</v>
      </c>
      <c r="G56" s="254">
        <v>22.56044812</v>
      </c>
      <c r="H56" s="254">
        <v>0</v>
      </c>
      <c r="I56" s="255">
        <v>0</v>
      </c>
      <c r="J56" s="263">
        <v>0</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v>
      </c>
      <c r="D61" s="263">
        <v>3</v>
      </c>
      <c r="E61" s="264">
        <f t="shared" si="9"/>
        <v>0</v>
      </c>
      <c r="F61" s="264">
        <f t="shared" si="8"/>
        <v>0</v>
      </c>
      <c r="G61" s="254">
        <v>3</v>
      </c>
      <c r="H61" s="254" t="b">
        <v>0</v>
      </c>
      <c r="I61" s="255">
        <v>0</v>
      </c>
      <c r="J61" s="263">
        <v>0</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M_00.0037.000037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45625</v>
      </c>
      <c r="E26" s="173">
        <v>3</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28122.859189999999</v>
      </c>
      <c r="Q26" s="173" t="s">
        <v>424</v>
      </c>
      <c r="R26" s="175">
        <f>SUM(R27:R86)</f>
        <v>28122.859189999999</v>
      </c>
      <c r="S26" s="173" t="s">
        <v>424</v>
      </c>
      <c r="T26" s="173" t="s">
        <v>424</v>
      </c>
      <c r="U26" s="173" t="s">
        <v>424</v>
      </c>
      <c r="V26" s="173" t="s">
        <v>424</v>
      </c>
      <c r="W26" s="173" t="s">
        <v>424</v>
      </c>
      <c r="X26" s="173" t="s">
        <v>424</v>
      </c>
      <c r="Y26" s="173" t="s">
        <v>424</v>
      </c>
      <c r="Z26" s="173" t="s">
        <v>424</v>
      </c>
      <c r="AA26" s="173" t="s">
        <v>424</v>
      </c>
      <c r="AB26" s="175">
        <f>SUM(AB27:AB86)</f>
        <v>28027.27</v>
      </c>
      <c r="AC26" s="173" t="s">
        <v>424</v>
      </c>
      <c r="AD26" s="175">
        <f>SUM(AD27:AD86)</f>
        <v>21476.723999999998</v>
      </c>
      <c r="AE26" s="175">
        <f>SUM(AE27:AE86)</f>
        <v>2117.5645499999991</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22347.77</v>
      </c>
      <c r="AY26" s="175">
        <f t="shared" si="46"/>
        <v>24699.159449999999</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4054.3531899999998</v>
      </c>
      <c r="Q27" s="205" t="s">
        <v>514</v>
      </c>
      <c r="R27" s="206">
        <v>4054.3531899999998</v>
      </c>
      <c r="S27" s="205" t="s">
        <v>515</v>
      </c>
      <c r="T27" s="205" t="s">
        <v>515</v>
      </c>
      <c r="U27" s="205">
        <v>3</v>
      </c>
      <c r="V27" s="205">
        <v>1</v>
      </c>
      <c r="W27" s="205" t="s">
        <v>516</v>
      </c>
      <c r="X27" s="205">
        <v>4054.3531899999998</v>
      </c>
      <c r="Y27" s="205" t="s">
        <v>424</v>
      </c>
      <c r="Z27" s="205">
        <v>1</v>
      </c>
      <c r="AA27" s="205">
        <v>3983.27</v>
      </c>
      <c r="AB27" s="206">
        <v>3983.27</v>
      </c>
      <c r="AC27" s="205" t="s">
        <v>516</v>
      </c>
      <c r="AD27" s="206">
        <v>4779.924</v>
      </c>
      <c r="AE27" s="247">
        <f>IF(IFERROR(AD27-AY27,"нд")&lt;0,0,IFERROR(AD27-AY27,"нд"))</f>
        <v>0</v>
      </c>
      <c r="AF27" s="205" t="s">
        <v>517</v>
      </c>
      <c r="AG27" s="205" t="s">
        <v>518</v>
      </c>
      <c r="AH27" s="205" t="s">
        <v>519</v>
      </c>
      <c r="AI27" s="207">
        <v>45473</v>
      </c>
      <c r="AJ27" s="207">
        <v>45460</v>
      </c>
      <c r="AK27" s="207">
        <v>45468</v>
      </c>
      <c r="AL27" s="207">
        <v>45476</v>
      </c>
      <c r="AM27" s="205" t="s">
        <v>424</v>
      </c>
      <c r="AN27" s="205" t="s">
        <v>424</v>
      </c>
      <c r="AO27" s="205" t="s">
        <v>424</v>
      </c>
      <c r="AP27" s="205" t="s">
        <v>424</v>
      </c>
      <c r="AQ27" s="207">
        <v>45412</v>
      </c>
      <c r="AR27" s="207">
        <v>45496</v>
      </c>
      <c r="AS27" s="207">
        <v>45412</v>
      </c>
      <c r="AT27" s="207">
        <v>45496</v>
      </c>
      <c r="AU27" s="207">
        <v>45443</v>
      </c>
      <c r="AV27" s="205" t="s">
        <v>424</v>
      </c>
      <c r="AW27" s="205" t="s">
        <v>424</v>
      </c>
      <c r="AX27" s="208">
        <v>3983.27</v>
      </c>
      <c r="AY27" s="208">
        <v>4779.924</v>
      </c>
      <c r="AZ27" s="206" t="s">
        <v>520</v>
      </c>
      <c r="BA27" s="206" t="s">
        <v>511</v>
      </c>
      <c r="BB27" s="206" t="s">
        <v>516</v>
      </c>
      <c r="BC27" s="206" t="s">
        <v>521</v>
      </c>
      <c r="BD27" s="206" t="str">
        <f>CONCATENATE(BB27,", ",BA27,", ",N27,", ","договор № ",BC27)</f>
        <v>Общество с ограниченной ответственностью "ЭКРА-Сибирь", ТМЦ, Поставка аппаратуры передачи сигналов, договор № ПД-24-00157 от 23.07.24</v>
      </c>
    </row>
    <row r="28" spans="1:56" s="209" customFormat="1" ht="13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522</v>
      </c>
      <c r="N28" s="205" t="s">
        <v>523</v>
      </c>
      <c r="O28" s="205" t="s">
        <v>513</v>
      </c>
      <c r="P28" s="206">
        <v>13914.505999999999</v>
      </c>
      <c r="Q28" s="205" t="s">
        <v>514</v>
      </c>
      <c r="R28" s="206">
        <v>13914.505999999999</v>
      </c>
      <c r="S28" s="205" t="s">
        <v>524</v>
      </c>
      <c r="T28" s="205" t="s">
        <v>524</v>
      </c>
      <c r="U28" s="205">
        <v>2</v>
      </c>
      <c r="V28" s="205">
        <v>1</v>
      </c>
      <c r="W28" s="205" t="s">
        <v>525</v>
      </c>
      <c r="X28" s="205">
        <v>13914</v>
      </c>
      <c r="Y28" s="205" t="s">
        <v>526</v>
      </c>
      <c r="Z28" s="205">
        <v>1</v>
      </c>
      <c r="AA28" s="205" t="s">
        <v>424</v>
      </c>
      <c r="AB28" s="206">
        <v>13914</v>
      </c>
      <c r="AC28" s="205" t="s">
        <v>525</v>
      </c>
      <c r="AD28" s="206">
        <v>16696.8</v>
      </c>
      <c r="AE28" s="247">
        <f t="shared" ref="AE28:AE86" si="49">IF(IFERROR(AD28-AY28,"нд")&lt;0,0,IFERROR(AD28-AY28,"нд"))</f>
        <v>2117.5645499999991</v>
      </c>
      <c r="AF28" s="205">
        <v>32413963523</v>
      </c>
      <c r="AG28" s="205" t="s">
        <v>518</v>
      </c>
      <c r="AH28" s="205" t="s">
        <v>519</v>
      </c>
      <c r="AI28" s="207">
        <v>45565</v>
      </c>
      <c r="AJ28" s="207">
        <v>45540</v>
      </c>
      <c r="AK28" s="207">
        <v>45558</v>
      </c>
      <c r="AL28" s="207">
        <v>45561</v>
      </c>
      <c r="AM28" s="205" t="s">
        <v>424</v>
      </c>
      <c r="AN28" s="205" t="s">
        <v>424</v>
      </c>
      <c r="AO28" s="205" t="s">
        <v>424</v>
      </c>
      <c r="AP28" s="205" t="s">
        <v>424</v>
      </c>
      <c r="AQ28" s="207">
        <v>45581</v>
      </c>
      <c r="AR28" s="207">
        <v>45581</v>
      </c>
      <c r="AS28" s="207">
        <v>45581</v>
      </c>
      <c r="AT28" s="207">
        <v>45581</v>
      </c>
      <c r="AU28" s="207">
        <v>45626</v>
      </c>
      <c r="AV28" s="205" t="s">
        <v>424</v>
      </c>
      <c r="AW28" s="205" t="s">
        <v>424</v>
      </c>
      <c r="AX28" s="206">
        <v>13914.5</v>
      </c>
      <c r="AY28" s="206">
        <v>14579.23545</v>
      </c>
      <c r="AZ28" s="206" t="s">
        <v>527</v>
      </c>
      <c r="BA28" s="206" t="s">
        <v>522</v>
      </c>
      <c r="BB28" s="206" t="s">
        <v>525</v>
      </c>
      <c r="BC28" s="206" t="s">
        <v>528</v>
      </c>
      <c r="BD28" s="206" t="str">
        <f t="shared" ref="BD28:BD86" si="50">CONCATENATE(BB28,", ",BA28,", ",N28,", ","договор № ",BC28)</f>
        <v>АКЦИОНЕРНОЕ ОБЩЕСТВО "ИНСТИТУТ АВТОМАТИЗАЦИИ ЭНЕРГЕТИЧЕСКИХ СИСТЕМ", СМР, ПНР, Выполнение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ВЛ 110 кВ Восточная – Барышевская I цепь с отпайкой на ПС Сады Гиганта и ВЛ 110 кВ Восточная – Барышевская II цепь. ", договор № ИП-24-00239 от 16.10.2024</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529</v>
      </c>
      <c r="N29" s="205" t="s">
        <v>530</v>
      </c>
      <c r="O29" s="205" t="s">
        <v>513</v>
      </c>
      <c r="P29" s="206">
        <v>10154</v>
      </c>
      <c r="Q29" s="205" t="s">
        <v>514</v>
      </c>
      <c r="R29" s="206">
        <v>10154</v>
      </c>
      <c r="S29" s="205" t="s">
        <v>524</v>
      </c>
      <c r="T29" s="205" t="s">
        <v>524</v>
      </c>
      <c r="U29" s="205">
        <v>4</v>
      </c>
      <c r="V29" s="205">
        <v>2</v>
      </c>
      <c r="W29" s="205" t="s">
        <v>531</v>
      </c>
      <c r="X29" s="205" t="s">
        <v>532</v>
      </c>
      <c r="Y29" s="205" t="s">
        <v>533</v>
      </c>
      <c r="Z29" s="205" t="s">
        <v>526</v>
      </c>
      <c r="AA29" s="205" t="s">
        <v>526</v>
      </c>
      <c r="AB29" s="206">
        <v>10130</v>
      </c>
      <c r="AC29" s="205" t="s">
        <v>534</v>
      </c>
      <c r="AD29" s="206" t="s">
        <v>535</v>
      </c>
      <c r="AE29" s="247" t="str">
        <f t="shared" si="49"/>
        <v>нд</v>
      </c>
      <c r="AF29" s="205">
        <v>32110992062</v>
      </c>
      <c r="AG29" s="205" t="s">
        <v>518</v>
      </c>
      <c r="AH29" s="205" t="s">
        <v>519</v>
      </c>
      <c r="AI29" s="207">
        <v>44560</v>
      </c>
      <c r="AJ29" s="207">
        <v>44557</v>
      </c>
      <c r="AK29" s="207">
        <v>44593</v>
      </c>
      <c r="AL29" s="207">
        <v>44606</v>
      </c>
      <c r="AM29" s="205" t="s">
        <v>424</v>
      </c>
      <c r="AN29" s="205" t="s">
        <v>424</v>
      </c>
      <c r="AO29" s="205" t="s">
        <v>424</v>
      </c>
      <c r="AP29" s="205" t="s">
        <v>424</v>
      </c>
      <c r="AQ29" s="207">
        <v>44626</v>
      </c>
      <c r="AR29" s="207">
        <v>44625</v>
      </c>
      <c r="AS29" s="207">
        <v>44626</v>
      </c>
      <c r="AT29" s="207">
        <v>44625</v>
      </c>
      <c r="AU29" s="207">
        <v>45290</v>
      </c>
      <c r="AV29" s="205" t="s">
        <v>424</v>
      </c>
      <c r="AW29" s="205" t="s">
        <v>424</v>
      </c>
      <c r="AX29" s="206">
        <v>4450</v>
      </c>
      <c r="AY29" s="206">
        <v>5340</v>
      </c>
      <c r="AZ29" s="206" t="s">
        <v>527</v>
      </c>
      <c r="BA29" s="206" t="s">
        <v>536</v>
      </c>
      <c r="BB29" s="206" t="s">
        <v>534</v>
      </c>
      <c r="BC29" s="206" t="s">
        <v>537</v>
      </c>
      <c r="BD29" s="206" t="str">
        <f t="shared" si="50"/>
        <v>АО "ИАЭС", СМР, Выполнение проектно-изыскательских,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договор № ИП-22-00041 от 05.03.2022</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M_00.0037.000037</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555</v>
      </c>
    </row>
    <row r="22" spans="1:2" x14ac:dyDescent="0.25">
      <c r="A22" s="153" t="s">
        <v>305</v>
      </c>
      <c r="B22" s="153" t="s">
        <v>560</v>
      </c>
    </row>
    <row r="23" spans="1:2" x14ac:dyDescent="0.25">
      <c r="A23" s="153" t="s">
        <v>287</v>
      </c>
      <c r="B23" s="153" t="s">
        <v>540</v>
      </c>
    </row>
    <row r="24" spans="1:2" x14ac:dyDescent="0.25">
      <c r="A24" s="153" t="s">
        <v>306</v>
      </c>
      <c r="B24" s="153" t="s">
        <v>424</v>
      </c>
    </row>
    <row r="25" spans="1:2" x14ac:dyDescent="0.25">
      <c r="A25" s="154" t="s">
        <v>307</v>
      </c>
      <c r="B25" s="171">
        <v>45625</v>
      </c>
    </row>
    <row r="26" spans="1:2" x14ac:dyDescent="0.25">
      <c r="A26" s="154" t="s">
        <v>308</v>
      </c>
      <c r="B26" s="156" t="s">
        <v>559</v>
      </c>
    </row>
    <row r="27" spans="1:2" x14ac:dyDescent="0.25">
      <c r="A27" s="156" t="str">
        <f>CONCATENATE("Стоимость проекта в прогнозных ценах, млн. руб. с НДС")</f>
        <v>Стоимость проекта в прогнозных ценах, млн. руб. с НДС</v>
      </c>
      <c r="B27" s="167">
        <v>27.029814653270879</v>
      </c>
    </row>
    <row r="28" spans="1:2" ht="93.75" customHeight="1" x14ac:dyDescent="0.25">
      <c r="A28" s="155" t="s">
        <v>309</v>
      </c>
      <c r="B28" s="158" t="s">
        <v>541</v>
      </c>
    </row>
    <row r="29" spans="1:2" ht="28.5" x14ac:dyDescent="0.25">
      <c r="A29" s="156" t="s">
        <v>310</v>
      </c>
      <c r="B29" s="167">
        <f>'7. Паспорт отчет о закупке'!$AB$26*1.2/1000</f>
        <v>33.632724000000003</v>
      </c>
    </row>
    <row r="30" spans="1:2" ht="28.5" x14ac:dyDescent="0.25">
      <c r="A30" s="156" t="s">
        <v>311</v>
      </c>
      <c r="B30" s="167">
        <f>'7. Паспорт отчет о закупке'!$AD$26/1000</f>
        <v>21.476723999999997</v>
      </c>
    </row>
    <row r="31" spans="1:2" x14ac:dyDescent="0.25">
      <c r="A31" s="155" t="s">
        <v>312</v>
      </c>
      <c r="B31" s="157"/>
    </row>
    <row r="32" spans="1:2" ht="28.5" x14ac:dyDescent="0.25">
      <c r="A32" s="156" t="s">
        <v>313</v>
      </c>
      <c r="B32" s="167">
        <f>SUM(SUMIF(B33,"&gt;0",B33),SUMIF(B37,"&gt;0",B37),SUMIF(B41,"&gt;0",B41),SUMIF(B45,"&gt;0",B45),SUMIF(B49,"&gt;0",B49),SUMIF(B53,"&gt;0",B53))</f>
        <v>16.6968</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f>IF(VLOOKUP(2,'7. Паспорт отчет о закупке'!$A$27:$CD$86,52,0)="ИП",VLOOKUP(2,'7. Паспорт отчет о закупке'!$A$27:$CD$86,30,0)/1000,"нд")</f>
        <v>16.6968</v>
      </c>
    </row>
    <row r="38" spans="1:2" x14ac:dyDescent="0.25">
      <c r="A38" s="164" t="s">
        <v>314</v>
      </c>
      <c r="B38" s="157">
        <f>IF(B37="нд","нд",$B37/$B$27*100)</f>
        <v>61.771788723603102</v>
      </c>
    </row>
    <row r="39" spans="1:2" x14ac:dyDescent="0.25">
      <c r="A39" s="164" t="s">
        <v>315</v>
      </c>
      <c r="B39" s="157">
        <f>IF(VLOOKUP(2,'7. Паспорт отчет о закупке'!$A$27:$CD$86,52,0)="ИП",VLOOKUP(2,'7. Паспорт отчет о закупке'!$A$27:$CD$86,51,0)/1000,"нд")</f>
        <v>14.579235450000001</v>
      </c>
    </row>
    <row r="40" spans="1:2" x14ac:dyDescent="0.25">
      <c r="A40" s="164" t="s">
        <v>436</v>
      </c>
      <c r="B40" s="157">
        <f>IF(VLOOKUP(2,'7. Паспорт отчет о закупке'!$A$27:$CD$86,52,0)="ИП",VLOOKUP(2,'7. Паспорт отчет о закупке'!$A$27:$CD$86,50,0)/1000,"нд")</f>
        <v>13.9145</v>
      </c>
    </row>
    <row r="41" spans="1:2" ht="30" x14ac:dyDescent="0.25">
      <c r="A41" s="164" t="s">
        <v>432</v>
      </c>
      <c r="B41" s="157" t="e">
        <f>IF(VLOOKUP(3,'7. Паспорт отчет о закупке'!$A$27:$CD$86,52,0)="ИП",VLOOKUP(3,'7. Паспорт отчет о закупке'!$A$27:$CD$86,30,0)/1000,"нд")</f>
        <v>#VALUE!</v>
      </c>
    </row>
    <row r="42" spans="1:2" x14ac:dyDescent="0.25">
      <c r="A42" s="164" t="s">
        <v>314</v>
      </c>
      <c r="B42" s="157" t="e">
        <f>IF(B41="нд","нд",$B41/$B$27*100)</f>
        <v>#VALUE!</v>
      </c>
    </row>
    <row r="43" spans="1:2" x14ac:dyDescent="0.25">
      <c r="A43" s="164" t="s">
        <v>315</v>
      </c>
      <c r="B43" s="157">
        <f>IF(VLOOKUP(3,'7. Паспорт отчет о закупке'!$A$27:$CD$86,52,0)="ИП",VLOOKUP(3,'7. Паспорт отчет о закупке'!$A$27:$CD$86,51,0)/1000,"нд")</f>
        <v>5.34</v>
      </c>
    </row>
    <row r="44" spans="1:2" x14ac:dyDescent="0.25">
      <c r="A44" s="164" t="s">
        <v>436</v>
      </c>
      <c r="B44" s="157">
        <f>IF(VLOOKUP(3,'7. Паспорт отчет о закупке'!$A$27:$CD$86,52,0)="ИП",VLOOKUP(3,'7. Паспорт отчет о закупке'!$A$27:$CD$86,50,0)/1000,"нд")</f>
        <v>4.45</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4.7799240000000003</v>
      </c>
    </row>
    <row r="58" spans="1:2" ht="30" x14ac:dyDescent="0.25">
      <c r="A58" s="164" t="s">
        <v>432</v>
      </c>
      <c r="B58" s="157">
        <f>IF(VLOOKUP(1,'7. Паспорт отчет о закупке'!$A$27:$CD$86,52,0)="ПД",VLOOKUP(1,'7. Паспорт отчет о закупке'!$A$27:$CD$86,30,0)/1000,"нд")</f>
        <v>4.7799240000000003</v>
      </c>
    </row>
    <row r="59" spans="1:2" x14ac:dyDescent="0.25">
      <c r="A59" s="164" t="s">
        <v>314</v>
      </c>
      <c r="B59" s="157">
        <f>IF(B58="нд","нд",$B58/$B$27*100)</f>
        <v>17.683894844693583</v>
      </c>
    </row>
    <row r="60" spans="1:2" x14ac:dyDescent="0.25">
      <c r="A60" s="164" t="s">
        <v>315</v>
      </c>
      <c r="B60" s="157">
        <f>IF(VLOOKUP(1,'7. Паспорт отчет о закупке'!$A$27:$CD$86,52,0)="ПД",VLOOKUP(1,'7. Паспорт отчет о закупке'!$A$27:$CD$86,51,0)/1000,"нд")</f>
        <v>4.7799240000000003</v>
      </c>
    </row>
    <row r="61" spans="1:2" x14ac:dyDescent="0.25">
      <c r="A61" s="164" t="s">
        <v>436</v>
      </c>
      <c r="B61" s="157">
        <f>IF(VLOOKUP(1,'7. Паспорт отчет о закупке'!$A$27:$CD$86,52,0)="ПД",VLOOKUP(1,'7. Паспорт отчет о закупке'!$A$27:$CD$86,50,0)/1000,"нд")</f>
        <v>3.9832700000000001</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17.683894844693583</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24.91165010327088</v>
      </c>
    </row>
    <row r="90" spans="1:7" x14ac:dyDescent="0.25">
      <c r="A90" s="154" t="s">
        <v>435</v>
      </c>
      <c r="B90" s="167">
        <f>IFERROR(SUM(B91*1.2/$B$27*100),0)</f>
        <v>100.15805913313559</v>
      </c>
    </row>
    <row r="91" spans="1:7" x14ac:dyDescent="0.25">
      <c r="A91" s="154" t="s">
        <v>440</v>
      </c>
      <c r="B91" s="167">
        <f>'6.2. Паспорт фин осв ввод'!D34-'6.2. Паспорт фин осв ввод'!E34</f>
        <v>22.56044812</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"ЭКРА-Сибирь", ТМЦ, Поставка аппаратуры передачи сигналов, договор № ПД-24-00157 от 23.07.24
АКЦИОНЕРНОЕ ОБЩЕСТВО "ИНСТИТУТ АВТОМАТИЗАЦИИ ЭНЕРГЕТИЧЕСКИХ СИСТЕМ", СМР, ПНР, Выполнение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ВЛ 110 кВ Восточная – Барышевская I цепь с отпайкой на ПС Сады Гиганта и ВЛ 110 кВ Восточная – Барышевская II цепь. ", договор № ИП-24-00239 от 16.10.2024
АО "ИАЭС", СМР, Выполнение проектно-изыскательских,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договор № ИП-22-00041 от 05.03.2022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аппаратуры передачи сигналов</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31.05.2024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M_00.0037.000037</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409.5" x14ac:dyDescent="0.2">
      <c r="A22" s="316" t="s">
        <v>63</v>
      </c>
      <c r="B22" s="317" t="s">
        <v>547</v>
      </c>
      <c r="C22" s="315" t="s">
        <v>563</v>
      </c>
      <c r="D22" s="315" t="s">
        <v>564</v>
      </c>
      <c r="E22" s="315" t="s">
        <v>424</v>
      </c>
      <c r="F22" s="315" t="s">
        <v>424</v>
      </c>
      <c r="G22" s="137" t="s">
        <v>372</v>
      </c>
      <c r="H22" s="138">
        <v>21.65</v>
      </c>
      <c r="I22" s="138" t="s">
        <v>424</v>
      </c>
      <c r="J22" s="138">
        <v>21.65</v>
      </c>
      <c r="K22" s="138">
        <v>110</v>
      </c>
      <c r="L22" s="138">
        <v>2</v>
      </c>
      <c r="M22" s="138" t="s">
        <v>424</v>
      </c>
      <c r="N22" s="138" t="s">
        <v>424</v>
      </c>
      <c r="O22" s="138" t="s">
        <v>424</v>
      </c>
      <c r="P22" s="138" t="s">
        <v>424</v>
      </c>
      <c r="Q22" s="139" t="s">
        <v>424</v>
      </c>
      <c r="R22" s="139" t="s">
        <v>561</v>
      </c>
      <c r="S22" s="138">
        <v>0.73675062000000002</v>
      </c>
      <c r="T22" s="26"/>
      <c r="U22" s="26"/>
      <c r="V22" s="26"/>
      <c r="W22" s="26"/>
      <c r="X22" s="26"/>
      <c r="Y22" s="26"/>
      <c r="Z22" s="25"/>
      <c r="AA22" s="25"/>
      <c r="AB22" s="25"/>
    </row>
    <row r="23" spans="1:28" s="2" customFormat="1" ht="18.75" x14ac:dyDescent="0.2">
      <c r="A23" s="316"/>
      <c r="B23" s="318"/>
      <c r="C23" s="315"/>
      <c r="D23" s="315"/>
      <c r="E23" s="315"/>
      <c r="F23" s="315"/>
      <c r="G23" s="140" t="s">
        <v>549</v>
      </c>
      <c r="H23" s="139">
        <v>21.65</v>
      </c>
      <c r="I23" s="139" t="s">
        <v>424</v>
      </c>
      <c r="J23" s="139">
        <v>21.65</v>
      </c>
      <c r="K23" s="139">
        <v>110</v>
      </c>
      <c r="L23" s="139">
        <v>2</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30" x14ac:dyDescent="0.2">
      <c r="A24" s="316"/>
      <c r="B24" s="319"/>
      <c r="C24" s="315"/>
      <c r="D24" s="315"/>
      <c r="E24" s="315"/>
      <c r="F24" s="315"/>
      <c r="G24" s="140" t="s">
        <v>550</v>
      </c>
      <c r="H24" s="139">
        <v>21.65</v>
      </c>
      <c r="I24" s="139" t="s">
        <v>424</v>
      </c>
      <c r="J24" s="139">
        <v>21.65</v>
      </c>
      <c r="K24" s="139">
        <v>110</v>
      </c>
      <c r="L24" s="139">
        <v>2</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409.5" x14ac:dyDescent="0.2">
      <c r="A25" s="316" t="s">
        <v>61</v>
      </c>
      <c r="B25" s="317" t="s">
        <v>548</v>
      </c>
      <c r="C25" s="315" t="s">
        <v>565</v>
      </c>
      <c r="D25" s="315" t="s">
        <v>424</v>
      </c>
      <c r="E25" s="315" t="s">
        <v>424</v>
      </c>
      <c r="F25" s="315" t="s">
        <v>548</v>
      </c>
      <c r="G25" s="137" t="s">
        <v>372</v>
      </c>
      <c r="H25" s="138">
        <v>100</v>
      </c>
      <c r="I25" s="138" t="s">
        <v>424</v>
      </c>
      <c r="J25" s="138">
        <v>100</v>
      </c>
      <c r="K25" s="138">
        <v>110</v>
      </c>
      <c r="L25" s="138">
        <v>2</v>
      </c>
      <c r="M25" s="138" t="s">
        <v>424</v>
      </c>
      <c r="N25" s="138" t="s">
        <v>424</v>
      </c>
      <c r="O25" s="138" t="s">
        <v>424</v>
      </c>
      <c r="P25" s="138" t="s">
        <v>424</v>
      </c>
      <c r="Q25" s="139" t="s">
        <v>424</v>
      </c>
      <c r="R25" s="139" t="s">
        <v>562</v>
      </c>
      <c r="S25" s="138">
        <v>0.84028822000000003</v>
      </c>
      <c r="T25" s="26"/>
      <c r="U25" s="26"/>
      <c r="V25" s="26"/>
      <c r="W25" s="26"/>
      <c r="X25" s="25"/>
      <c r="Y25" s="25"/>
      <c r="Z25" s="25"/>
      <c r="AA25" s="25"/>
      <c r="AB25" s="25"/>
    </row>
    <row r="26" spans="1:28" s="2" customFormat="1" ht="30" x14ac:dyDescent="0.2">
      <c r="A26" s="316"/>
      <c r="B26" s="318"/>
      <c r="C26" s="315"/>
      <c r="D26" s="315"/>
      <c r="E26" s="315"/>
      <c r="F26" s="315"/>
      <c r="G26" s="140" t="s">
        <v>551</v>
      </c>
      <c r="H26" s="139">
        <v>100</v>
      </c>
      <c r="I26" s="139" t="s">
        <v>424</v>
      </c>
      <c r="J26" s="139">
        <v>100</v>
      </c>
      <c r="K26" s="139">
        <v>110</v>
      </c>
      <c r="L26" s="139">
        <v>2</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30" x14ac:dyDescent="0.2">
      <c r="A27" s="316"/>
      <c r="B27" s="319"/>
      <c r="C27" s="315"/>
      <c r="D27" s="315"/>
      <c r="E27" s="315"/>
      <c r="F27" s="315"/>
      <c r="G27" s="140" t="s">
        <v>552</v>
      </c>
      <c r="H27" s="139">
        <v>100</v>
      </c>
      <c r="I27" s="139" t="s">
        <v>424</v>
      </c>
      <c r="J27" s="139">
        <v>100</v>
      </c>
      <c r="K27" s="139">
        <v>110</v>
      </c>
      <c r="L27" s="139">
        <v>2</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121.65</v>
      </c>
      <c r="I37" s="139">
        <f t="shared" ref="I37:J37" si="0">SUMIFS(I$22:I$36,$G$22:$G$36,"Всего по всем точкам присоединения, 
в том числе:")</f>
        <v>0</v>
      </c>
      <c r="J37" s="139">
        <f t="shared" si="0"/>
        <v>121.65</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1.5770388400000002</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M_00.0037.000037</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M_00.0037.000037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M_00.0037.000037</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553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555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556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557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558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44562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M_00.0037.000037</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M_00.0037.000037</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M_00.0037.000037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5" zoomScale="70" zoomScaleSheetLayoutView="70" workbookViewId="0">
      <selection activeCell="A12" sqref="A12:J1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M_00.0037.000037</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443</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44606</v>
      </c>
      <c r="D25" s="285">
        <v>45581</v>
      </c>
      <c r="E25" s="285">
        <v>44606</v>
      </c>
      <c r="F25" s="285">
        <v>45581</v>
      </c>
      <c r="G25" s="286">
        <v>1</v>
      </c>
      <c r="H25" s="286" t="s">
        <v>424</v>
      </c>
      <c r="I25" s="280" t="s">
        <v>542</v>
      </c>
      <c r="J25" s="280" t="s">
        <v>424</v>
      </c>
      <c r="L25" s="246"/>
      <c r="N25" s="238" t="str">
        <f>CONCATENATE($A$12,A25)</f>
        <v>M_00.0037.0000371</v>
      </c>
    </row>
    <row r="26" spans="1:14" x14ac:dyDescent="0.25">
      <c r="A26" s="281" t="s">
        <v>450</v>
      </c>
      <c r="B26" s="281" t="s">
        <v>451</v>
      </c>
      <c r="C26" s="285" t="s">
        <v>424</v>
      </c>
      <c r="D26" s="285" t="s">
        <v>424</v>
      </c>
      <c r="E26" s="285" t="s">
        <v>424</v>
      </c>
      <c r="F26" s="285" t="s">
        <v>424</v>
      </c>
      <c r="G26" s="286" t="s">
        <v>424</v>
      </c>
      <c r="H26" s="286" t="s">
        <v>424</v>
      </c>
      <c r="I26" s="280" t="s">
        <v>526</v>
      </c>
      <c r="J26" s="281" t="s">
        <v>424</v>
      </c>
      <c r="N26" s="238" t="str">
        <f t="shared" ref="N26:N54" si="0">CONCATENATE($A$12,A26)</f>
        <v>M_00.0037.0000371.1.</v>
      </c>
    </row>
    <row r="27" spans="1:14" x14ac:dyDescent="0.25">
      <c r="A27" s="281" t="s">
        <v>452</v>
      </c>
      <c r="B27" s="281" t="s">
        <v>453</v>
      </c>
      <c r="C27" s="285" t="s">
        <v>424</v>
      </c>
      <c r="D27" s="285" t="s">
        <v>424</v>
      </c>
      <c r="E27" s="285" t="s">
        <v>424</v>
      </c>
      <c r="F27" s="285" t="s">
        <v>424</v>
      </c>
      <c r="G27" s="286" t="s">
        <v>424</v>
      </c>
      <c r="H27" s="286" t="s">
        <v>424</v>
      </c>
      <c r="I27" s="280" t="s">
        <v>526</v>
      </c>
      <c r="J27" s="281" t="s">
        <v>424</v>
      </c>
      <c r="N27" s="238" t="str">
        <f t="shared" si="0"/>
        <v>M_00.0037.0000371.2.</v>
      </c>
    </row>
    <row r="28" spans="1:14" ht="31.5" x14ac:dyDescent="0.25">
      <c r="A28" s="281" t="s">
        <v>454</v>
      </c>
      <c r="B28" s="281" t="s">
        <v>455</v>
      </c>
      <c r="C28" s="285" t="s">
        <v>424</v>
      </c>
      <c r="D28" s="285" t="s">
        <v>424</v>
      </c>
      <c r="E28" s="285" t="s">
        <v>424</v>
      </c>
      <c r="F28" s="285" t="s">
        <v>424</v>
      </c>
      <c r="G28" s="286" t="s">
        <v>424</v>
      </c>
      <c r="H28" s="286" t="s">
        <v>424</v>
      </c>
      <c r="I28" s="280" t="s">
        <v>526</v>
      </c>
      <c r="J28" s="281" t="s">
        <v>424</v>
      </c>
      <c r="N28" s="238" t="str">
        <f t="shared" si="0"/>
        <v>M_00.0037.0000371.2.1.</v>
      </c>
    </row>
    <row r="29" spans="1:14" x14ac:dyDescent="0.25">
      <c r="A29" s="281" t="s">
        <v>456</v>
      </c>
      <c r="B29" s="281" t="s">
        <v>457</v>
      </c>
      <c r="C29" s="285" t="s">
        <v>424</v>
      </c>
      <c r="D29" s="285" t="s">
        <v>424</v>
      </c>
      <c r="E29" s="285" t="s">
        <v>424</v>
      </c>
      <c r="F29" s="285" t="s">
        <v>424</v>
      </c>
      <c r="G29" s="286" t="s">
        <v>424</v>
      </c>
      <c r="H29" s="286" t="s">
        <v>424</v>
      </c>
      <c r="I29" s="280" t="s">
        <v>526</v>
      </c>
      <c r="J29" s="281" t="s">
        <v>424</v>
      </c>
      <c r="N29" s="238" t="str">
        <f t="shared" si="0"/>
        <v>M_00.0037.0000371.3.</v>
      </c>
    </row>
    <row r="30" spans="1:14" x14ac:dyDescent="0.25">
      <c r="A30" s="281" t="s">
        <v>458</v>
      </c>
      <c r="B30" s="281" t="s">
        <v>459</v>
      </c>
      <c r="C30" s="285" t="s">
        <v>424</v>
      </c>
      <c r="D30" s="285" t="s">
        <v>424</v>
      </c>
      <c r="E30" s="285" t="s">
        <v>424</v>
      </c>
      <c r="F30" s="285" t="s">
        <v>424</v>
      </c>
      <c r="G30" s="286" t="s">
        <v>424</v>
      </c>
      <c r="H30" s="286" t="s">
        <v>424</v>
      </c>
      <c r="I30" s="280" t="s">
        <v>526</v>
      </c>
      <c r="J30" s="281" t="s">
        <v>424</v>
      </c>
      <c r="N30" s="238" t="str">
        <f t="shared" si="0"/>
        <v>M_00.0037.0000371.4.</v>
      </c>
    </row>
    <row r="31" spans="1:14" x14ac:dyDescent="0.25">
      <c r="A31" s="281" t="s">
        <v>460</v>
      </c>
      <c r="B31" s="281" t="s">
        <v>461</v>
      </c>
      <c r="C31" s="285">
        <v>44606</v>
      </c>
      <c r="D31" s="285">
        <v>45581</v>
      </c>
      <c r="E31" s="285">
        <v>44606</v>
      </c>
      <c r="F31" s="285">
        <v>45581</v>
      </c>
      <c r="G31" s="286">
        <v>1</v>
      </c>
      <c r="H31" s="286" t="s">
        <v>424</v>
      </c>
      <c r="I31" s="280" t="s">
        <v>526</v>
      </c>
      <c r="J31" s="281" t="s">
        <v>424</v>
      </c>
      <c r="N31" s="238" t="str">
        <f t="shared" si="0"/>
        <v>M_00.0037.0000371.5.</v>
      </c>
    </row>
    <row r="32" spans="1:14" x14ac:dyDescent="0.25">
      <c r="A32" s="281" t="s">
        <v>462</v>
      </c>
      <c r="B32" s="281" t="s">
        <v>463</v>
      </c>
      <c r="C32" s="285">
        <v>45474</v>
      </c>
      <c r="D32" s="285">
        <v>45489</v>
      </c>
      <c r="E32" s="285">
        <v>45474</v>
      </c>
      <c r="F32" s="285">
        <v>45489</v>
      </c>
      <c r="G32" s="286">
        <v>1</v>
      </c>
      <c r="H32" s="286" t="s">
        <v>424</v>
      </c>
      <c r="I32" s="280" t="s">
        <v>526</v>
      </c>
      <c r="J32" s="281" t="s">
        <v>424</v>
      </c>
      <c r="N32" s="238" t="str">
        <f t="shared" si="0"/>
        <v>M_00.0037.0000371.6.</v>
      </c>
    </row>
    <row r="33" spans="1:14" ht="31.5" x14ac:dyDescent="0.25">
      <c r="A33" s="281" t="s">
        <v>464</v>
      </c>
      <c r="B33" s="281" t="s">
        <v>465</v>
      </c>
      <c r="C33" s="285" t="s">
        <v>424</v>
      </c>
      <c r="D33" s="285" t="s">
        <v>424</v>
      </c>
      <c r="E33" s="285" t="s">
        <v>424</v>
      </c>
      <c r="F33" s="285" t="s">
        <v>424</v>
      </c>
      <c r="G33" s="286" t="s">
        <v>424</v>
      </c>
      <c r="H33" s="286" t="s">
        <v>424</v>
      </c>
      <c r="I33" s="280" t="s">
        <v>526</v>
      </c>
      <c r="J33" s="281" t="s">
        <v>424</v>
      </c>
      <c r="N33" s="238" t="str">
        <f t="shared" si="0"/>
        <v>M_00.0037.0000371.7.</v>
      </c>
    </row>
    <row r="34" spans="1:14" ht="31.5" x14ac:dyDescent="0.25">
      <c r="A34" s="281" t="s">
        <v>466</v>
      </c>
      <c r="B34" s="281" t="s">
        <v>467</v>
      </c>
      <c r="C34" s="285" t="s">
        <v>424</v>
      </c>
      <c r="D34" s="285" t="s">
        <v>424</v>
      </c>
      <c r="E34" s="285" t="s">
        <v>424</v>
      </c>
      <c r="F34" s="285" t="s">
        <v>424</v>
      </c>
      <c r="G34" s="286" t="s">
        <v>424</v>
      </c>
      <c r="H34" s="286" t="s">
        <v>424</v>
      </c>
      <c r="I34" s="280" t="s">
        <v>526</v>
      </c>
      <c r="J34" s="281" t="s">
        <v>424</v>
      </c>
      <c r="N34" s="238" t="str">
        <f t="shared" si="0"/>
        <v>M_00.0037.0000371.8.</v>
      </c>
    </row>
    <row r="35" spans="1:14" x14ac:dyDescent="0.25">
      <c r="A35" s="281" t="s">
        <v>468</v>
      </c>
      <c r="B35" s="281" t="s">
        <v>469</v>
      </c>
      <c r="C35" s="285">
        <v>45535</v>
      </c>
      <c r="D35" s="285">
        <v>45565</v>
      </c>
      <c r="E35" s="285">
        <v>45535</v>
      </c>
      <c r="F35" s="285">
        <v>45565</v>
      </c>
      <c r="G35" s="286">
        <v>1</v>
      </c>
      <c r="H35" s="286" t="s">
        <v>424</v>
      </c>
      <c r="I35" s="280" t="s">
        <v>526</v>
      </c>
      <c r="J35" s="281" t="s">
        <v>424</v>
      </c>
      <c r="N35" s="238" t="str">
        <f t="shared" si="0"/>
        <v>M_00.0037.0000371.9.</v>
      </c>
    </row>
    <row r="36" spans="1:14" x14ac:dyDescent="0.25">
      <c r="A36" s="281" t="s">
        <v>470</v>
      </c>
      <c r="B36" s="281" t="s">
        <v>471</v>
      </c>
      <c r="C36" s="285" t="s">
        <v>424</v>
      </c>
      <c r="D36" s="285" t="s">
        <v>424</v>
      </c>
      <c r="E36" s="285" t="s">
        <v>424</v>
      </c>
      <c r="F36" s="285" t="s">
        <v>424</v>
      </c>
      <c r="G36" s="286" t="s">
        <v>424</v>
      </c>
      <c r="H36" s="286" t="s">
        <v>424</v>
      </c>
      <c r="I36" s="280" t="s">
        <v>526</v>
      </c>
      <c r="J36" s="281" t="s">
        <v>424</v>
      </c>
      <c r="N36" s="238" t="str">
        <f t="shared" si="0"/>
        <v>M_00.0037.0000371.10.</v>
      </c>
    </row>
    <row r="37" spans="1:14" x14ac:dyDescent="0.25">
      <c r="A37" s="281" t="s">
        <v>472</v>
      </c>
      <c r="B37" s="281" t="s">
        <v>473</v>
      </c>
      <c r="C37" s="285">
        <v>45444</v>
      </c>
      <c r="D37" s="285">
        <v>45548</v>
      </c>
      <c r="E37" s="285">
        <v>45444</v>
      </c>
      <c r="F37" s="285">
        <v>45548</v>
      </c>
      <c r="G37" s="286">
        <v>1</v>
      </c>
      <c r="H37" s="286" t="s">
        <v>424</v>
      </c>
      <c r="I37" s="280" t="s">
        <v>526</v>
      </c>
      <c r="J37" s="281" t="s">
        <v>424</v>
      </c>
      <c r="N37" s="238" t="str">
        <f t="shared" si="0"/>
        <v>M_00.0037.0000371.11.</v>
      </c>
    </row>
    <row r="38" spans="1:14" x14ac:dyDescent="0.25">
      <c r="A38" s="280">
        <v>2</v>
      </c>
      <c r="B38" s="280" t="s">
        <v>509</v>
      </c>
      <c r="C38" s="285">
        <v>44606</v>
      </c>
      <c r="D38" s="285">
        <v>45581</v>
      </c>
      <c r="E38" s="285">
        <v>44606</v>
      </c>
      <c r="F38" s="285">
        <v>45581</v>
      </c>
      <c r="G38" s="286">
        <v>1</v>
      </c>
      <c r="H38" s="286" t="s">
        <v>424</v>
      </c>
      <c r="I38" s="280" t="s">
        <v>542</v>
      </c>
      <c r="J38" s="280" t="s">
        <v>424</v>
      </c>
      <c r="N38" s="238" t="str">
        <f t="shared" si="0"/>
        <v>M_00.0037.0000372</v>
      </c>
    </row>
    <row r="39" spans="1:14" ht="173.25" customHeight="1" x14ac:dyDescent="0.25">
      <c r="A39" s="282" t="s">
        <v>474</v>
      </c>
      <c r="B39" s="281" t="s">
        <v>475</v>
      </c>
      <c r="C39" s="285">
        <v>44606</v>
      </c>
      <c r="D39" s="285">
        <v>45581</v>
      </c>
      <c r="E39" s="285">
        <v>44606</v>
      </c>
      <c r="F39" s="285">
        <v>45581</v>
      </c>
      <c r="G39" s="286">
        <v>1</v>
      </c>
      <c r="H39" s="286" t="s">
        <v>424</v>
      </c>
      <c r="I39" s="280" t="s">
        <v>526</v>
      </c>
      <c r="J39" s="281" t="s">
        <v>424</v>
      </c>
      <c r="N39" s="238" t="str">
        <f t="shared" si="0"/>
        <v>M_00.0037.0000372.1.</v>
      </c>
    </row>
    <row r="40" spans="1:14" x14ac:dyDescent="0.25">
      <c r="A40" s="282" t="s">
        <v>476</v>
      </c>
      <c r="B40" s="281" t="s">
        <v>477</v>
      </c>
      <c r="C40" s="285">
        <v>45444</v>
      </c>
      <c r="D40" s="285">
        <v>45496</v>
      </c>
      <c r="E40" s="285">
        <v>45444</v>
      </c>
      <c r="F40" s="285">
        <v>45496</v>
      </c>
      <c r="G40" s="286">
        <v>1</v>
      </c>
      <c r="H40" s="286" t="s">
        <v>424</v>
      </c>
      <c r="I40" s="280" t="s">
        <v>526</v>
      </c>
      <c r="J40" s="281" t="s">
        <v>424</v>
      </c>
      <c r="N40" s="238" t="str">
        <f t="shared" si="0"/>
        <v>M_00.0037.0000372.2.</v>
      </c>
    </row>
    <row r="41" spans="1:14" x14ac:dyDescent="0.25">
      <c r="A41" s="280">
        <v>3</v>
      </c>
      <c r="B41" s="280" t="s">
        <v>478</v>
      </c>
      <c r="C41" s="285">
        <v>45444</v>
      </c>
      <c r="D41" s="285">
        <v>45625</v>
      </c>
      <c r="E41" s="285">
        <v>45444</v>
      </c>
      <c r="F41" s="285">
        <v>45625</v>
      </c>
      <c r="G41" s="286">
        <v>1</v>
      </c>
      <c r="H41" s="286" t="s">
        <v>424</v>
      </c>
      <c r="I41" s="280" t="s">
        <v>542</v>
      </c>
      <c r="J41" s="280" t="s">
        <v>424</v>
      </c>
      <c r="N41" s="238" t="str">
        <f t="shared" si="0"/>
        <v>M_00.0037.0000373</v>
      </c>
    </row>
    <row r="42" spans="1:14" x14ac:dyDescent="0.25">
      <c r="A42" s="281" t="s">
        <v>479</v>
      </c>
      <c r="B42" s="281" t="s">
        <v>480</v>
      </c>
      <c r="C42" s="285">
        <v>45505</v>
      </c>
      <c r="D42" s="285">
        <v>45595</v>
      </c>
      <c r="E42" s="285">
        <v>45505</v>
      </c>
      <c r="F42" s="285">
        <v>45595</v>
      </c>
      <c r="G42" s="286">
        <v>1</v>
      </c>
      <c r="H42" s="286" t="s">
        <v>424</v>
      </c>
      <c r="I42" s="280" t="s">
        <v>526</v>
      </c>
      <c r="J42" s="281" t="s">
        <v>424</v>
      </c>
      <c r="N42" s="238" t="str">
        <f t="shared" si="0"/>
        <v>M_00.0037.0000373.1.</v>
      </c>
    </row>
    <row r="43" spans="1:14" x14ac:dyDescent="0.25">
      <c r="A43" s="281" t="s">
        <v>481</v>
      </c>
      <c r="B43" s="281" t="s">
        <v>482</v>
      </c>
      <c r="C43" s="285">
        <v>45497</v>
      </c>
      <c r="D43" s="285">
        <v>45516</v>
      </c>
      <c r="E43" s="285">
        <v>45497</v>
      </c>
      <c r="F43" s="285">
        <v>45516</v>
      </c>
      <c r="G43" s="286">
        <v>1</v>
      </c>
      <c r="H43" s="286" t="s">
        <v>424</v>
      </c>
      <c r="I43" s="280" t="s">
        <v>526</v>
      </c>
      <c r="J43" s="281" t="s">
        <v>424</v>
      </c>
      <c r="N43" s="238" t="str">
        <f t="shared" si="0"/>
        <v>M_00.0037.0000373.2.</v>
      </c>
    </row>
    <row r="44" spans="1:14" x14ac:dyDescent="0.25">
      <c r="A44" s="281" t="s">
        <v>483</v>
      </c>
      <c r="B44" s="281" t="s">
        <v>484</v>
      </c>
      <c r="C44" s="285">
        <v>45517</v>
      </c>
      <c r="D44" s="285">
        <v>45597</v>
      </c>
      <c r="E44" s="285">
        <v>45517</v>
      </c>
      <c r="F44" s="285">
        <v>45597</v>
      </c>
      <c r="G44" s="286">
        <v>1</v>
      </c>
      <c r="H44" s="286" t="s">
        <v>424</v>
      </c>
      <c r="I44" s="280" t="s">
        <v>526</v>
      </c>
      <c r="J44" s="281" t="s">
        <v>424</v>
      </c>
      <c r="N44" s="238" t="str">
        <f t="shared" si="0"/>
        <v>M_00.0037.0000373.3.</v>
      </c>
    </row>
    <row r="45" spans="1:14" ht="31.5" x14ac:dyDescent="0.25">
      <c r="A45" s="281" t="s">
        <v>485</v>
      </c>
      <c r="B45" s="281" t="s">
        <v>486</v>
      </c>
      <c r="C45" s="285" t="s">
        <v>424</v>
      </c>
      <c r="D45" s="285" t="s">
        <v>424</v>
      </c>
      <c r="E45" s="285" t="s">
        <v>424</v>
      </c>
      <c r="F45" s="285" t="s">
        <v>424</v>
      </c>
      <c r="G45" s="286" t="s">
        <v>424</v>
      </c>
      <c r="H45" s="286" t="s">
        <v>424</v>
      </c>
      <c r="I45" s="280" t="s">
        <v>526</v>
      </c>
      <c r="J45" s="281" t="s">
        <v>424</v>
      </c>
      <c r="N45" s="238" t="str">
        <f t="shared" si="0"/>
        <v>M_00.0037.0000373.4.</v>
      </c>
    </row>
    <row r="46" spans="1:14" ht="63" x14ac:dyDescent="0.25">
      <c r="A46" s="281" t="s">
        <v>487</v>
      </c>
      <c r="B46" s="281" t="s">
        <v>488</v>
      </c>
      <c r="C46" s="285" t="s">
        <v>424</v>
      </c>
      <c r="D46" s="285" t="s">
        <v>424</v>
      </c>
      <c r="E46" s="285" t="s">
        <v>424</v>
      </c>
      <c r="F46" s="285" t="s">
        <v>424</v>
      </c>
      <c r="G46" s="286" t="s">
        <v>424</v>
      </c>
      <c r="H46" s="286" t="s">
        <v>424</v>
      </c>
      <c r="I46" s="280" t="s">
        <v>526</v>
      </c>
      <c r="J46" s="281" t="s">
        <v>424</v>
      </c>
      <c r="N46" s="238" t="str">
        <f t="shared" si="0"/>
        <v>M_00.0037.0000373.5.</v>
      </c>
    </row>
    <row r="47" spans="1:14" x14ac:dyDescent="0.25">
      <c r="A47" s="281" t="s">
        <v>489</v>
      </c>
      <c r="B47" s="281" t="s">
        <v>490</v>
      </c>
      <c r="C47" s="285" t="s">
        <v>424</v>
      </c>
      <c r="D47" s="285" t="s">
        <v>424</v>
      </c>
      <c r="E47" s="285" t="s">
        <v>424</v>
      </c>
      <c r="F47" s="285" t="s">
        <v>424</v>
      </c>
      <c r="G47" s="286" t="s">
        <v>424</v>
      </c>
      <c r="H47" s="286" t="s">
        <v>424</v>
      </c>
      <c r="I47" s="280" t="s">
        <v>424</v>
      </c>
      <c r="J47" s="281" t="s">
        <v>424</v>
      </c>
      <c r="N47" s="238" t="str">
        <f t="shared" si="0"/>
        <v>M_00.0037.0000373.6.</v>
      </c>
    </row>
    <row r="48" spans="1:14" x14ac:dyDescent="0.25">
      <c r="A48" s="280">
        <v>4</v>
      </c>
      <c r="B48" s="280" t="s">
        <v>491</v>
      </c>
      <c r="C48" s="285">
        <v>45623</v>
      </c>
      <c r="D48" s="285">
        <v>45654</v>
      </c>
      <c r="E48" s="285">
        <v>45623</v>
      </c>
      <c r="F48" s="285">
        <v>45654</v>
      </c>
      <c r="G48" s="286">
        <v>1</v>
      </c>
      <c r="H48" s="286" t="s">
        <v>424</v>
      </c>
      <c r="I48" s="280" t="s">
        <v>542</v>
      </c>
      <c r="J48" s="280" t="s">
        <v>424</v>
      </c>
      <c r="N48" s="238" t="str">
        <f t="shared" si="0"/>
        <v>M_00.0037.0000374</v>
      </c>
    </row>
    <row r="49" spans="1:14" x14ac:dyDescent="0.25">
      <c r="A49" s="281" t="s">
        <v>492</v>
      </c>
      <c r="B49" s="281" t="s">
        <v>493</v>
      </c>
      <c r="C49" s="285">
        <v>45623</v>
      </c>
      <c r="D49" s="285">
        <v>45653</v>
      </c>
      <c r="E49" s="285">
        <v>45623</v>
      </c>
      <c r="F49" s="285">
        <v>45653</v>
      </c>
      <c r="G49" s="286">
        <v>1</v>
      </c>
      <c r="H49" s="286" t="s">
        <v>424</v>
      </c>
      <c r="I49" s="280" t="s">
        <v>526</v>
      </c>
      <c r="J49" s="281" t="s">
        <v>424</v>
      </c>
      <c r="N49" s="238" t="str">
        <f t="shared" si="0"/>
        <v>M_00.0037.0000374.1.</v>
      </c>
    </row>
    <row r="50" spans="1:14" ht="47.25" x14ac:dyDescent="0.25">
      <c r="A50" s="281" t="s">
        <v>494</v>
      </c>
      <c r="B50" s="281" t="s">
        <v>495</v>
      </c>
      <c r="C50" s="285" t="s">
        <v>424</v>
      </c>
      <c r="D50" s="285" t="s">
        <v>424</v>
      </c>
      <c r="E50" s="285" t="s">
        <v>424</v>
      </c>
      <c r="F50" s="285" t="s">
        <v>424</v>
      </c>
      <c r="G50" s="286" t="s">
        <v>424</v>
      </c>
      <c r="H50" s="286" t="s">
        <v>424</v>
      </c>
      <c r="I50" s="280" t="s">
        <v>526</v>
      </c>
      <c r="J50" s="281" t="s">
        <v>424</v>
      </c>
      <c r="N50" s="238" t="str">
        <f t="shared" si="0"/>
        <v>M_00.0037.0000374.2.</v>
      </c>
    </row>
    <row r="51" spans="1:14" ht="31.5" x14ac:dyDescent="0.25">
      <c r="A51" s="281" t="s">
        <v>496</v>
      </c>
      <c r="B51" s="281" t="s">
        <v>497</v>
      </c>
      <c r="C51" s="285" t="s">
        <v>424</v>
      </c>
      <c r="D51" s="285" t="s">
        <v>424</v>
      </c>
      <c r="E51" s="285" t="s">
        <v>424</v>
      </c>
      <c r="F51" s="285" t="s">
        <v>424</v>
      </c>
      <c r="G51" s="286" t="s">
        <v>424</v>
      </c>
      <c r="H51" s="286" t="s">
        <v>424</v>
      </c>
      <c r="I51" s="280" t="s">
        <v>526</v>
      </c>
      <c r="J51" s="281" t="s">
        <v>424</v>
      </c>
      <c r="N51" s="238" t="str">
        <f t="shared" si="0"/>
        <v>M_00.0037.0000374.3.</v>
      </c>
    </row>
    <row r="52" spans="1:14" ht="31.5" x14ac:dyDescent="0.25">
      <c r="A52" s="283" t="s">
        <v>498</v>
      </c>
      <c r="B52" s="281" t="s">
        <v>499</v>
      </c>
      <c r="C52" s="285" t="s">
        <v>424</v>
      </c>
      <c r="D52" s="285" t="s">
        <v>424</v>
      </c>
      <c r="E52" s="285" t="s">
        <v>424</v>
      </c>
      <c r="F52" s="285" t="s">
        <v>424</v>
      </c>
      <c r="G52" s="286" t="s">
        <v>424</v>
      </c>
      <c r="H52" s="286" t="s">
        <v>424</v>
      </c>
      <c r="I52" s="280" t="s">
        <v>526</v>
      </c>
      <c r="J52" s="281" t="s">
        <v>424</v>
      </c>
      <c r="N52" s="238" t="str">
        <f t="shared" si="0"/>
        <v>M_00.0037.0000374.4.</v>
      </c>
    </row>
    <row r="53" spans="1:14" x14ac:dyDescent="0.25">
      <c r="A53" s="281" t="s">
        <v>500</v>
      </c>
      <c r="B53" s="284" t="s">
        <v>501</v>
      </c>
      <c r="C53" s="285">
        <v>45654</v>
      </c>
      <c r="D53" s="285">
        <v>45654</v>
      </c>
      <c r="E53" s="285">
        <v>45654</v>
      </c>
      <c r="F53" s="285">
        <v>45654</v>
      </c>
      <c r="G53" s="286">
        <v>1</v>
      </c>
      <c r="H53" s="286" t="s">
        <v>424</v>
      </c>
      <c r="I53" s="280" t="s">
        <v>526</v>
      </c>
      <c r="J53" s="281" t="s">
        <v>424</v>
      </c>
      <c r="N53" s="238" t="str">
        <f t="shared" si="0"/>
        <v>M_00.0037.0000374.5.</v>
      </c>
    </row>
    <row r="54" spans="1:14" x14ac:dyDescent="0.25">
      <c r="A54" s="281" t="s">
        <v>502</v>
      </c>
      <c r="B54" s="281" t="s">
        <v>503</v>
      </c>
      <c r="C54" s="285" t="s">
        <v>424</v>
      </c>
      <c r="D54" s="285" t="s">
        <v>424</v>
      </c>
      <c r="E54" s="285" t="s">
        <v>424</v>
      </c>
      <c r="F54" s="285" t="s">
        <v>424</v>
      </c>
      <c r="G54" s="286" t="s">
        <v>424</v>
      </c>
      <c r="H54" s="286" t="s">
        <v>424</v>
      </c>
      <c r="I54" s="280" t="s">
        <v>526</v>
      </c>
      <c r="J54" s="281" t="s">
        <v>424</v>
      </c>
      <c r="N54" s="238" t="str">
        <f t="shared" si="0"/>
        <v>M_00.0037.0000374.6.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2025-11-11T08:41:31Z</dcterms:modified>
</cp:coreProperties>
</file>